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<sst xmlns="http://schemas.openxmlformats.org/spreadsheetml/2006/main" count="194" uniqueCount="192">
  <si>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</si>
  <si>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</si>
  <si>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</si>
  <si>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</si>
  <si>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</si>
  <si>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</si>
  <si>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</si>
  <si>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</si>
  <si>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</si>
  <si>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</si>
  <si>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</si>
  <si>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</si>
  <si>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</si>
  <si>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</si>
  <si>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</si>
  <si>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</si>
  <si>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</si>
  <si>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</si>
  <si>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</si>
  <si>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</si>
  <si>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</si>
  <si>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</si>
  <si>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</si>
  <si>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</si>
  <si>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</si>
  <si>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</si>
  <si>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</si>
  <si>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</si>
  <si>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</si>
  <si>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</si>
  <si>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</si>
  <si>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</si>
  <si>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</si>
  <si>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</si>
  <si>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</si>
  <si>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</si>
  <si>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</si>
  <si>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</si>
  <si>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</si>
  <si>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</si>
  <si>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</si>
  <si>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</si>
  <si>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</si>
  <si>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</si>
  <si>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</si>
  <si>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</si>
  <si>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</si>
  <si>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</si>
  <si>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</si>
  <si>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</si>
  <si>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</si>
  <si>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</si>
  <si>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</si>
  <si>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</si>
  <si>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</si>
  <si>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</si>
  <si>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</si>
  <si>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</si>
  <si>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</si>
  <si>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</si>
  <si>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</si>
  <si>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</si>
  <si>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</si>
  <si>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</si>
  <si>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</si>
  <si>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</si>
  <si>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</si>
  <si>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</si>
  <si>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</si>
  <si>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</si>
  <si>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</si>
  <si>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</si>
  <si>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</si>
  <si>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</si>
  <si>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</si>
  <si>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</si>
  <si>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</si>
  <si>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</si>
  <si>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</si>
  <si>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</si>
  <si>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</si>
  <si>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</si>
  <si>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</si>
  <si>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</si>
  <si>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</si>
  <si>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</si>
  <si>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</si>
  <si>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</si>
  <si>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</si>
  <si>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</si>
  <si>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</si>
  <si>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</si>
  <si>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</si>
  <si>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</si>
  <si>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</si>
  <si>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</si>
  <si>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</si>
  <si>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</si>
  <si>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</si>
  <si>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</si>
  <si>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</si>
  <si>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</si>
  <si>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</si>
  <si>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</si>
  <si>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</si>
  <si>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</si>
  <si>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</si>
  <si>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</si>
  <si>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</si>
  <si>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</si>
  <si>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</si>
  <si>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</si>
  <si>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</si>
  <si>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</si>
  <si>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</si>
  <si>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</si>
  <si>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</si>
  <si>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</si>
  <si>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</si>
  <si>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</si>
  <si>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</si>
  <si>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</si>
  <si>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</si>
  <si>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</si>
  <si>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</si>
  <si>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</si>
  <si>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</si>
  <si>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</si>
  <si>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</si>
  <si>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</si>
  <si>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</si>
  <si>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</si>
  <si>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</si>
  <si>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</si>
  <si>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</si>
  <si>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</si>
  <si>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</si>
  <si>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</si>
  <si>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</si>
  <si>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</si>
  <si>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</si>
  <si>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</si>
  <si>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</si>
  <si>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</si>
  <si>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</si>
  <si>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</si>
  <si>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</si>
  <si>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</si>
  <si>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</si>
  <si>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</si>
  <si>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</si>
  <si>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</si>
  <si>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</si>
  <si>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</si>
  <si>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</si>
  <si>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</si>
  <si>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</si>
  <si>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</si>
  <si>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</si>
  <si>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</si>
  <si>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</si>
  <si>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</si>
  <si>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</si>
  <si>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</si>
  <si>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</si>
  <si>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</si>
  <si>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</si>
  <si>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</si>
  <si>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</si>
  <si>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</si>
  <si>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</si>
  <si>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</si>
  <si>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</si>
  <si>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</si>
  <si>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</si>
  <si>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</si>
  <si>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</si>
  <si>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</si>
  <si>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</si>
  <si>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</si>
  <si>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</si>
  <si>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</si>
  <si>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</si>
  <si>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</si>
  <si>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</si>
  <si>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</si>
  <si>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</si>
  <si>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</si>
  <si>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</si>
  <si>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</si>
  <si>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</si>
  <si>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25.05.17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</si>
</sst>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4" fillId="0" borderId="10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Q166" sqref="AQ16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81" t="s">
        <v>8</v>
      </c>
      <c r="B2" s="81"/>
      <c r="C2" s="81"/>
      <c r="D2" s="81"/>
      <c r="E2" s="81"/>
      <c r="F2" s="81"/>
      <c r="G2" s="81"/>
    </row>
    <row r="3" spans="1:7" ht="20.25" customHeight="1">
      <c r="A3" s="82" t="s">
        <v>23</v>
      </c>
      <c r="B3" s="82"/>
      <c r="C3" s="82"/>
      <c r="D3" s="82"/>
      <c r="E3" s="82"/>
      <c r="F3" s="82"/>
      <c r="G3" s="8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3" t="s">
        <v>5</v>
      </c>
      <c r="B5" s="11"/>
      <c r="C5" s="83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5" t="s">
        <v>22</v>
      </c>
      <c r="J5" s="85" t="s">
        <v>189</v>
      </c>
    </row>
    <row r="6" spans="1:25" ht="35.25" customHeight="1">
      <c r="A6" s="84"/>
      <c r="B6" s="14" t="s">
        <v>6</v>
      </c>
      <c r="C6" s="84"/>
      <c r="D6" s="80"/>
      <c r="E6" s="80"/>
      <c r="F6" s="80"/>
      <c r="G6" s="12" t="s">
        <v>4</v>
      </c>
      <c r="H6" s="80"/>
      <c r="I6" s="86"/>
      <c r="J6" s="86"/>
      <c r="L6" s="91" t="s">
        <v>190</v>
      </c>
      <c r="M6" s="85" t="s">
        <v>28</v>
      </c>
      <c r="N6" s="93" t="s">
        <v>29</v>
      </c>
      <c r="O6" s="85" t="s">
        <v>30</v>
      </c>
      <c r="P6" s="85" t="s">
        <v>31</v>
      </c>
      <c r="Q6" s="85" t="s">
        <v>32</v>
      </c>
      <c r="R6" s="85" t="s">
        <v>33</v>
      </c>
      <c r="S6" s="85" t="s">
        <v>34</v>
      </c>
      <c r="T6" s="85" t="s">
        <v>35</v>
      </c>
      <c r="U6" s="85" t="s">
        <v>36</v>
      </c>
      <c r="V6" s="85" t="s">
        <v>37</v>
      </c>
      <c r="W6" s="85" t="s">
        <v>38</v>
      </c>
      <c r="X6" s="85" t="s">
        <v>39</v>
      </c>
      <c r="Y6" s="85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86"/>
      <c r="N7" s="9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s="15" customFormat="1" ht="19.5" customHeight="1">
      <c r="A8" s="87" t="s">
        <v>24</v>
      </c>
      <c r="B8" s="88"/>
      <c r="C8" s="88"/>
      <c r="D8" s="88"/>
      <c r="E8" s="88"/>
      <c r="F8" s="88"/>
      <c r="G8" s="88"/>
      <c r="H8" s="88"/>
      <c r="I8" s="88"/>
      <c r="J8" s="89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36648166.60999999</v>
      </c>
      <c r="I9" s="40">
        <f aca="true" t="shared" si="0" ref="I9:I25">H9/D9*100</f>
        <v>24.44708458668154</v>
      </c>
      <c r="J9" s="46">
        <f>H9/(M9+N9+O9+N26+O26+P9+P26+Q9)*100</f>
        <v>75.7229104129138</v>
      </c>
      <c r="K9" s="37"/>
      <c r="L9" s="73">
        <f>H10-(M9+N9+O9+P9)</f>
        <v>-181939.11000000127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6607600</v>
      </c>
      <c r="R9" s="47">
        <f t="shared" si="1"/>
        <v>8656500</v>
      </c>
      <c r="S9" s="47">
        <f t="shared" si="1"/>
        <v>4354600</v>
      </c>
      <c r="T9" s="47">
        <f t="shared" si="1"/>
        <v>5278895.12</v>
      </c>
      <c r="U9" s="47">
        <f t="shared" si="1"/>
        <v>4495700</v>
      </c>
      <c r="V9" s="47">
        <f t="shared" si="1"/>
        <v>6398500</v>
      </c>
      <c r="W9" s="47">
        <f t="shared" si="1"/>
        <v>4140400</v>
      </c>
      <c r="X9" s="47">
        <f t="shared" si="1"/>
        <v>9049839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14575026.769999998</v>
      </c>
      <c r="I10" s="41">
        <f t="shared" si="0"/>
        <v>22.866732722508978</v>
      </c>
      <c r="J10" s="48">
        <f>H10/(M9+N9+O9+P9)*100</f>
        <v>98.76709676311862</v>
      </c>
      <c r="L10" s="73">
        <f>(H11+H13+H14+H15+H16+H17)-(M10+N10+O10+P10+Q10)</f>
        <v>-5400718.890000001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</f>
        <v>5357600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2350000+281395.12+300000+268808+143500+304000</f>
        <v>3647703.12</v>
      </c>
      <c r="U10" s="24">
        <f>2350000+408828+545700</f>
        <v>3304528</v>
      </c>
      <c r="V10" s="24">
        <f>2350000+500000+533039+1073600+1005900+69000</f>
        <v>5531539</v>
      </c>
      <c r="W10" s="24">
        <f>1900000+608828+700000+112000+300000+28400</f>
        <v>3649228</v>
      </c>
      <c r="X10" s="24">
        <f>4750000+100000+85000+260285+2047400+307400+240000+424039+255000+186000</f>
        <v>8655124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76">
        <f>(H11+H13+H14+H15+H16+H17)/(M10+N10+O10+P10+Q10)*100</f>
        <v>64.78123822684283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7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7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77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77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7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78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4640967.779999999</v>
      </c>
      <c r="I18" s="42">
        <f t="shared" si="0"/>
        <v>33.01722926537755</v>
      </c>
      <c r="J18" s="76">
        <f>H18/(M18+N18+O18+P18+Q18)*100</f>
        <v>76.96734578396453</v>
      </c>
      <c r="L18" s="73">
        <f>H18-(M18+N18+O18+P18+Q18)</f>
        <v>-1388820.2200000007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</f>
        <v>1947840.8399999999</v>
      </c>
      <c r="I19" s="42">
        <f t="shared" si="0"/>
        <v>58.660434339516264</v>
      </c>
      <c r="J19" s="77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77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77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</f>
        <v>463954.46</v>
      </c>
      <c r="I22" s="42">
        <f t="shared" si="0"/>
        <v>41.705646096453776</v>
      </c>
      <c r="J22" s="77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77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77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78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22073139.839999996</v>
      </c>
      <c r="I26" s="22">
        <f>H26/D26*100</f>
        <v>25.61606529911809</v>
      </c>
      <c r="J26" s="41">
        <f>H26/(N26+O26+P26+Q26)*100</f>
        <v>73.33032005310923</v>
      </c>
      <c r="L26" s="73">
        <f>H26-(M26+N26+O26+P26+Q26)</f>
        <v>-8027833.160000004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3067813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6263256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 t="e">
        <f t="shared" si="11"/>
        <v>#DIV/0!</v>
      </c>
      <c r="L69" s="73">
        <f t="shared" si="8"/>
        <v>0</v>
      </c>
      <c r="M69" s="71"/>
      <c r="N69" s="71"/>
      <c r="O69" s="71">
        <v>22000</v>
      </c>
      <c r="P69" s="71"/>
      <c r="Q69" s="71">
        <f>-22000</f>
        <v>-22000</v>
      </c>
      <c r="R69" s="71"/>
      <c r="S69" s="71"/>
      <c r="T69" s="71"/>
      <c r="U69" s="71"/>
      <c r="V69" s="71">
        <v>99000</v>
      </c>
      <c r="W69" s="71">
        <f>22000</f>
        <v>22000</v>
      </c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 t="e">
        <f t="shared" si="11"/>
        <v>#DIV/0!</v>
      </c>
      <c r="L70" s="73">
        <f t="shared" si="8"/>
        <v>0</v>
      </c>
      <c r="M70" s="71"/>
      <c r="N70" s="71"/>
      <c r="O70" s="71">
        <v>12700</v>
      </c>
      <c r="P70" s="71"/>
      <c r="Q70" s="71">
        <v>-12700</v>
      </c>
      <c r="R70" s="71"/>
      <c r="S70" s="71"/>
      <c r="T70" s="71"/>
      <c r="U70" s="71"/>
      <c r="V70" s="71">
        <v>57150</v>
      </c>
      <c r="W70" s="71">
        <f>12700</f>
        <v>12700</v>
      </c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 t="e">
        <f t="shared" si="11"/>
        <v>#DIV/0!</v>
      </c>
      <c r="L71" s="73">
        <f t="shared" si="8"/>
        <v>0</v>
      </c>
      <c r="M71" s="71"/>
      <c r="N71" s="71"/>
      <c r="O71" s="71">
        <v>24000</v>
      </c>
      <c r="P71" s="71"/>
      <c r="Q71" s="71">
        <v>-24000</v>
      </c>
      <c r="R71" s="71"/>
      <c r="S71" s="71"/>
      <c r="T71" s="71"/>
      <c r="U71" s="71"/>
      <c r="V71" s="71">
        <v>108000</v>
      </c>
      <c r="W71" s="71">
        <f>24000</f>
        <v>24000</v>
      </c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67">
        <f>68813.21</f>
        <v>68813.21</v>
      </c>
      <c r="I72" s="42">
        <f t="shared" si="10"/>
        <v>4.170497575757577</v>
      </c>
      <c r="J72" s="63">
        <f t="shared" si="11"/>
        <v>57.8262268907563</v>
      </c>
      <c r="L72" s="73">
        <f t="shared" si="8"/>
        <v>-50186.78999999999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 t="e">
        <f t="shared" si="11"/>
        <v>#DIV/0!</v>
      </c>
      <c r="L74" s="73">
        <f t="shared" si="8"/>
        <v>0</v>
      </c>
      <c r="M74" s="71"/>
      <c r="N74" s="71"/>
      <c r="O74" s="71">
        <v>11600</v>
      </c>
      <c r="P74" s="71"/>
      <c r="Q74" s="71">
        <f>-11600</f>
        <v>-11600</v>
      </c>
      <c r="R74" s="71"/>
      <c r="S74" s="71"/>
      <c r="T74" s="71"/>
      <c r="U74" s="71"/>
      <c r="V74" s="71">
        <v>81200</v>
      </c>
      <c r="W74" s="71">
        <f>11600</f>
        <v>11600</v>
      </c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 t="e">
        <f t="shared" si="11"/>
        <v>#DIV/0!</v>
      </c>
      <c r="L75" s="73">
        <f t="shared" si="8"/>
        <v>0</v>
      </c>
      <c r="M75" s="71"/>
      <c r="N75" s="71"/>
      <c r="O75" s="71">
        <v>11600</v>
      </c>
      <c r="P75" s="71"/>
      <c r="Q75" s="71">
        <f>-11600</f>
        <v>-11600</v>
      </c>
      <c r="R75" s="71"/>
      <c r="S75" s="71"/>
      <c r="T75" s="71"/>
      <c r="U75" s="71"/>
      <c r="V75" s="71">
        <v>52200</v>
      </c>
      <c r="W75" s="71">
        <f>11600</f>
        <v>11600</v>
      </c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 t="e">
        <f t="shared" si="11"/>
        <v>#DIV/0!</v>
      </c>
      <c r="L76" s="73">
        <f t="shared" si="8"/>
        <v>0</v>
      </c>
      <c r="M76" s="71"/>
      <c r="N76" s="71"/>
      <c r="O76" s="71">
        <v>5000</v>
      </c>
      <c r="P76" s="71"/>
      <c r="Q76" s="71">
        <f>-5000</f>
        <v>-5000</v>
      </c>
      <c r="R76" s="71"/>
      <c r="S76" s="71"/>
      <c r="T76" s="71"/>
      <c r="U76" s="71"/>
      <c r="V76" s="71">
        <v>35000</v>
      </c>
      <c r="W76" s="71">
        <f>5000</f>
        <v>5000</v>
      </c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 t="e">
        <f t="shared" si="11"/>
        <v>#DIV/0!</v>
      </c>
      <c r="L77" s="73">
        <f t="shared" si="8"/>
        <v>0</v>
      </c>
      <c r="M77" s="71"/>
      <c r="N77" s="71"/>
      <c r="O77" s="71">
        <v>11600</v>
      </c>
      <c r="P77" s="71"/>
      <c r="Q77" s="71">
        <v>-11600</v>
      </c>
      <c r="R77" s="71"/>
      <c r="S77" s="71"/>
      <c r="T77" s="71"/>
      <c r="U77" s="71"/>
      <c r="V77" s="71">
        <v>81200</v>
      </c>
      <c r="W77" s="71">
        <f>11600</f>
        <v>11600</v>
      </c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 t="e">
        <f t="shared" si="11"/>
        <v>#DIV/0!</v>
      </c>
      <c r="L78" s="73">
        <f t="shared" si="8"/>
        <v>0</v>
      </c>
      <c r="M78" s="71"/>
      <c r="N78" s="71"/>
      <c r="O78" s="71">
        <v>26300</v>
      </c>
      <c r="P78" s="71"/>
      <c r="Q78" s="71">
        <v>-26300</v>
      </c>
      <c r="R78" s="71"/>
      <c r="S78" s="71"/>
      <c r="T78" s="71"/>
      <c r="U78" s="71"/>
      <c r="V78" s="71">
        <v>184100</v>
      </c>
      <c r="W78" s="71">
        <f>26300</f>
        <v>26300</v>
      </c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 t="e">
        <f t="shared" si="11"/>
        <v>#DIV/0!</v>
      </c>
      <c r="L79" s="73">
        <f t="shared" si="8"/>
        <v>0</v>
      </c>
      <c r="M79" s="71"/>
      <c r="N79" s="71"/>
      <c r="O79" s="71">
        <v>11800</v>
      </c>
      <c r="P79" s="71"/>
      <c r="Q79" s="71">
        <v>-11800</v>
      </c>
      <c r="R79" s="71"/>
      <c r="S79" s="71"/>
      <c r="T79" s="71"/>
      <c r="U79" s="71"/>
      <c r="V79" s="71">
        <v>82600</v>
      </c>
      <c r="W79" s="71">
        <f>11800</f>
        <v>11800</v>
      </c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 t="e">
        <f t="shared" si="11"/>
        <v>#DIV/0!</v>
      </c>
      <c r="L80" s="73">
        <f t="shared" si="8"/>
        <v>0</v>
      </c>
      <c r="M80" s="71"/>
      <c r="N80" s="71"/>
      <c r="O80" s="71">
        <v>23200</v>
      </c>
      <c r="P80" s="71"/>
      <c r="Q80" s="71">
        <v>-23200</v>
      </c>
      <c r="R80" s="71"/>
      <c r="S80" s="71"/>
      <c r="T80" s="71"/>
      <c r="U80" s="71"/>
      <c r="V80" s="71">
        <v>162400</v>
      </c>
      <c r="W80" s="71">
        <f>23200</f>
        <v>23200</v>
      </c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 t="e">
        <f t="shared" si="11"/>
        <v>#DIV/0!</v>
      </c>
      <c r="L81" s="73">
        <f t="shared" si="8"/>
        <v>0</v>
      </c>
      <c r="M81" s="71"/>
      <c r="N81" s="71"/>
      <c r="O81" s="71">
        <v>15000</v>
      </c>
      <c r="P81" s="71"/>
      <c r="Q81" s="71">
        <v>-15000</v>
      </c>
      <c r="R81" s="71"/>
      <c r="S81" s="71"/>
      <c r="T81" s="71"/>
      <c r="U81" s="71"/>
      <c r="V81" s="71">
        <v>105000</v>
      </c>
      <c r="W81" s="71">
        <f>15000</f>
        <v>15000</v>
      </c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 t="e">
        <f t="shared" si="11"/>
        <v>#DIV/0!</v>
      </c>
      <c r="L82" s="73">
        <f t="shared" si="8"/>
        <v>0</v>
      </c>
      <c r="M82" s="71"/>
      <c r="N82" s="71"/>
      <c r="O82" s="71">
        <v>35000</v>
      </c>
      <c r="P82" s="71"/>
      <c r="Q82" s="71">
        <v>-35000</v>
      </c>
      <c r="R82" s="71"/>
      <c r="S82" s="71"/>
      <c r="T82" s="71"/>
      <c r="U82" s="71"/>
      <c r="V82" s="71">
        <v>157500</v>
      </c>
      <c r="W82" s="71">
        <f>35000</f>
        <v>35000</v>
      </c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 t="e">
        <f t="shared" si="11"/>
        <v>#DIV/0!</v>
      </c>
      <c r="L83" s="73">
        <f t="shared" si="8"/>
        <v>0</v>
      </c>
      <c r="M83" s="71"/>
      <c r="N83" s="71"/>
      <c r="O83" s="71">
        <v>13000</v>
      </c>
      <c r="P83" s="71"/>
      <c r="Q83" s="71">
        <v>-13000</v>
      </c>
      <c r="R83" s="71"/>
      <c r="S83" s="71"/>
      <c r="T83" s="71"/>
      <c r="U83" s="71"/>
      <c r="V83" s="71">
        <v>91000</v>
      </c>
      <c r="W83" s="71">
        <f>13000</f>
        <v>13000</v>
      </c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 t="e">
        <f t="shared" si="11"/>
        <v>#DIV/0!</v>
      </c>
      <c r="L84" s="73">
        <f t="shared" si="8"/>
        <v>0</v>
      </c>
      <c r="M84" s="71"/>
      <c r="N84" s="71"/>
      <c r="O84" s="71">
        <v>13300</v>
      </c>
      <c r="P84" s="71"/>
      <c r="Q84" s="71">
        <v>-13300</v>
      </c>
      <c r="R84" s="71"/>
      <c r="S84" s="71"/>
      <c r="T84" s="71"/>
      <c r="U84" s="71"/>
      <c r="V84" s="71">
        <v>93100</v>
      </c>
      <c r="W84" s="71">
        <f>13300</f>
        <v>13300</v>
      </c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 t="e">
        <f t="shared" si="11"/>
        <v>#DIV/0!</v>
      </c>
      <c r="L85" s="73">
        <f t="shared" si="8"/>
        <v>0</v>
      </c>
      <c r="M85" s="71"/>
      <c r="N85" s="71"/>
      <c r="O85" s="71">
        <v>13300</v>
      </c>
      <c r="P85" s="71"/>
      <c r="Q85" s="71">
        <v>-13300</v>
      </c>
      <c r="R85" s="71"/>
      <c r="S85" s="71"/>
      <c r="T85" s="71"/>
      <c r="U85" s="71"/>
      <c r="V85" s="71">
        <v>93100</v>
      </c>
      <c r="W85" s="71">
        <f>13300</f>
        <v>13300</v>
      </c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 t="e">
        <f t="shared" si="11"/>
        <v>#DIV/0!</v>
      </c>
      <c r="L86" s="73">
        <f t="shared" si="8"/>
        <v>0</v>
      </c>
      <c r="M86" s="71"/>
      <c r="N86" s="71"/>
      <c r="O86" s="71">
        <v>11600</v>
      </c>
      <c r="P86" s="71"/>
      <c r="Q86" s="71">
        <v>-11600</v>
      </c>
      <c r="R86" s="71"/>
      <c r="S86" s="71"/>
      <c r="T86" s="71"/>
      <c r="U86" s="71"/>
      <c r="V86" s="71">
        <v>81200</v>
      </c>
      <c r="W86" s="71">
        <f>11600</f>
        <v>11600</v>
      </c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 t="e">
        <f t="shared" si="11"/>
        <v>#DIV/0!</v>
      </c>
      <c r="L88" s="73">
        <f t="shared" si="8"/>
        <v>0</v>
      </c>
      <c r="M88" s="71"/>
      <c r="N88" s="71"/>
      <c r="O88" s="71">
        <v>18000</v>
      </c>
      <c r="P88" s="71"/>
      <c r="Q88" s="71">
        <v>-18000</v>
      </c>
      <c r="R88" s="71"/>
      <c r="S88" s="71"/>
      <c r="T88" s="71"/>
      <c r="U88" s="71"/>
      <c r="V88" s="71">
        <v>126000</v>
      </c>
      <c r="W88" s="71">
        <v>18000</v>
      </c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 t="e">
        <f t="shared" si="11"/>
        <v>#DIV/0!</v>
      </c>
      <c r="L89" s="73">
        <f t="shared" si="8"/>
        <v>0</v>
      </c>
      <c r="M89" s="71"/>
      <c r="N89" s="71"/>
      <c r="O89" s="71">
        <v>10600</v>
      </c>
      <c r="P89" s="71"/>
      <c r="Q89" s="71">
        <v>-10600</v>
      </c>
      <c r="R89" s="71"/>
      <c r="S89" s="71"/>
      <c r="T89" s="71"/>
      <c r="U89" s="71"/>
      <c r="V89" s="71">
        <v>74200</v>
      </c>
      <c r="W89" s="71">
        <v>10600</v>
      </c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 t="e">
        <f t="shared" si="11"/>
        <v>#DIV/0!</v>
      </c>
      <c r="L90" s="73">
        <f t="shared" si="8"/>
        <v>0</v>
      </c>
      <c r="M90" s="71"/>
      <c r="N90" s="71"/>
      <c r="O90" s="71">
        <v>23200</v>
      </c>
      <c r="P90" s="71"/>
      <c r="Q90" s="71">
        <v>-23200</v>
      </c>
      <c r="R90" s="71"/>
      <c r="S90" s="71"/>
      <c r="T90" s="71"/>
      <c r="U90" s="71"/>
      <c r="V90" s="71">
        <v>162400</v>
      </c>
      <c r="W90" s="71">
        <v>23200</v>
      </c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 t="e">
        <f t="shared" si="16"/>
        <v>#DIV/0!</v>
      </c>
      <c r="L94" s="73">
        <f t="shared" si="14"/>
        <v>0</v>
      </c>
      <c r="M94" s="71"/>
      <c r="N94" s="71"/>
      <c r="O94" s="71">
        <v>11600</v>
      </c>
      <c r="P94" s="71"/>
      <c r="Q94" s="71">
        <f>-11600</f>
        <v>-11600</v>
      </c>
      <c r="R94" s="71"/>
      <c r="S94" s="71"/>
      <c r="T94" s="71"/>
      <c r="U94" s="71">
        <v>81200</v>
      </c>
      <c r="V94" s="71"/>
      <c r="W94" s="71">
        <v>34800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 t="e">
        <f t="shared" si="16"/>
        <v>#DIV/0!</v>
      </c>
      <c r="L96" s="73">
        <f t="shared" si="14"/>
        <v>0</v>
      </c>
      <c r="M96" s="71"/>
      <c r="N96" s="71"/>
      <c r="O96" s="71">
        <v>58000</v>
      </c>
      <c r="P96" s="71"/>
      <c r="Q96" s="71">
        <v>-58000</v>
      </c>
      <c r="R96" s="71"/>
      <c r="S96" s="71"/>
      <c r="T96" s="71"/>
      <c r="U96" s="71">
        <v>406000</v>
      </c>
      <c r="V96" s="71"/>
      <c r="W96" s="71">
        <v>174000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 t="e">
        <f t="shared" si="16"/>
        <v>#DIV/0!</v>
      </c>
      <c r="L97" s="73">
        <f t="shared" si="14"/>
        <v>0</v>
      </c>
      <c r="M97" s="71"/>
      <c r="N97" s="71"/>
      <c r="O97" s="71">
        <v>13300</v>
      </c>
      <c r="P97" s="71"/>
      <c r="Q97" s="71">
        <v>-13300</v>
      </c>
      <c r="R97" s="71"/>
      <c r="S97" s="71"/>
      <c r="T97" s="71"/>
      <c r="U97" s="71">
        <v>93100</v>
      </c>
      <c r="V97" s="71"/>
      <c r="W97" s="71">
        <v>39900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 t="e">
        <f t="shared" si="16"/>
        <v>#DIV/0!</v>
      </c>
      <c r="L98" s="73">
        <f t="shared" si="14"/>
        <v>0</v>
      </c>
      <c r="M98" s="71"/>
      <c r="N98" s="71"/>
      <c r="O98" s="71">
        <v>13300</v>
      </c>
      <c r="P98" s="71"/>
      <c r="Q98" s="71">
        <v>-13300</v>
      </c>
      <c r="R98" s="71"/>
      <c r="S98" s="71"/>
      <c r="T98" s="71"/>
      <c r="U98" s="71">
        <v>93100</v>
      </c>
      <c r="V98" s="71"/>
      <c r="W98" s="71">
        <v>39900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 t="e">
        <f t="shared" si="16"/>
        <v>#DIV/0!</v>
      </c>
      <c r="L99" s="73">
        <f t="shared" si="14"/>
        <v>0</v>
      </c>
      <c r="M99" s="71"/>
      <c r="N99" s="71"/>
      <c r="O99" s="71">
        <v>23200</v>
      </c>
      <c r="P99" s="71"/>
      <c r="Q99" s="71">
        <v>-23200</v>
      </c>
      <c r="R99" s="71"/>
      <c r="S99" s="71"/>
      <c r="T99" s="71"/>
      <c r="U99" s="71">
        <v>162400</v>
      </c>
      <c r="V99" s="71"/>
      <c r="W99" s="71">
        <v>69600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 t="e">
        <f t="shared" si="16"/>
        <v>#DIV/0!</v>
      </c>
      <c r="L100" s="73">
        <f t="shared" si="14"/>
        <v>0</v>
      </c>
      <c r="M100" s="71"/>
      <c r="N100" s="71"/>
      <c r="O100" s="71">
        <v>13300</v>
      </c>
      <c r="P100" s="71"/>
      <c r="Q100" s="71">
        <v>-13300</v>
      </c>
      <c r="R100" s="71"/>
      <c r="S100" s="71"/>
      <c r="T100" s="71"/>
      <c r="U100" s="71">
        <v>93100</v>
      </c>
      <c r="V100" s="71"/>
      <c r="W100" s="71">
        <v>39900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74.35053102873802</v>
      </c>
      <c r="L101" s="73">
        <f t="shared" si="14"/>
        <v>-157656</v>
      </c>
      <c r="M101" s="75"/>
      <c r="N101" s="75"/>
      <c r="O101" s="75">
        <v>76700</v>
      </c>
      <c r="P101" s="75">
        <f>400000-9653</f>
        <v>390347</v>
      </c>
      <c r="Q101" s="75">
        <v>147609</v>
      </c>
      <c r="R101" s="75"/>
      <c r="S101" s="75"/>
      <c r="T101" s="75"/>
      <c r="U101" s="75">
        <f>536900-400000-67081-69819</f>
        <v>0</v>
      </c>
      <c r="V101" s="75"/>
      <c r="W101" s="75">
        <f>153400-75166-77790</f>
        <v>444</v>
      </c>
      <c r="X101" s="75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28000+20000+360000+130576.93</f>
        <v>538576.9299999999</v>
      </c>
      <c r="I102" s="42">
        <f t="shared" si="15"/>
        <v>55.01296527068437</v>
      </c>
      <c r="J102" s="50">
        <f t="shared" si="16"/>
        <v>91.18654763033496</v>
      </c>
      <c r="L102" s="73">
        <f t="shared" si="14"/>
        <v>-52055.070000000065</v>
      </c>
      <c r="M102" s="75"/>
      <c r="N102" s="75"/>
      <c r="O102" s="75">
        <v>97900</v>
      </c>
      <c r="P102" s="75">
        <v>360000</v>
      </c>
      <c r="Q102" s="75">
        <v>132732</v>
      </c>
      <c r="R102" s="75"/>
      <c r="S102" s="75"/>
      <c r="T102" s="75"/>
      <c r="U102" s="75">
        <f>685300-360000-132732</f>
        <v>192568</v>
      </c>
      <c r="V102" s="75"/>
      <c r="W102" s="75">
        <v>195800</v>
      </c>
      <c r="X102" s="75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-212659</v>
      </c>
      <c r="M103" s="75"/>
      <c r="N103" s="75"/>
      <c r="O103" s="75">
        <v>56000</v>
      </c>
      <c r="P103" s="75">
        <f>504000-67000</f>
        <v>437000</v>
      </c>
      <c r="Q103" s="75">
        <v>-280341</v>
      </c>
      <c r="R103" s="75"/>
      <c r="S103" s="75"/>
      <c r="T103" s="75"/>
      <c r="U103" s="75">
        <f>392000-392000+202551</f>
        <v>202551</v>
      </c>
      <c r="V103" s="75"/>
      <c r="W103" s="75">
        <f>112000-112000+77790</f>
        <v>77790</v>
      </c>
      <c r="X103" s="75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>
        <f>57425.03</f>
        <v>57425.03</v>
      </c>
      <c r="I106" s="42">
        <f t="shared" si="15"/>
        <v>2.8232561455260567</v>
      </c>
      <c r="J106" s="63">
        <f t="shared" si="16"/>
        <v>28.23256145526057</v>
      </c>
      <c r="L106" s="73">
        <f t="shared" si="14"/>
        <v>-145974.97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1100000+1156000+18212.82+1065275</f>
        <v>3339487.82</v>
      </c>
      <c r="I107" s="42">
        <f t="shared" si="15"/>
        <v>95.3866843758926</v>
      </c>
      <c r="J107" s="50">
        <f t="shared" si="16"/>
        <v>95.3866843758926</v>
      </c>
      <c r="L107" s="73">
        <f t="shared" si="14"/>
        <v>-161512.18000000017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33000+26000+1050000</f>
        <v>1109000</v>
      </c>
      <c r="I108" s="42">
        <f t="shared" si="15"/>
        <v>75.33967391304348</v>
      </c>
      <c r="J108" s="50">
        <f t="shared" si="16"/>
        <v>75.33967391304348</v>
      </c>
      <c r="L108" s="73">
        <f t="shared" si="14"/>
        <v>-363000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2533359+1399329</f>
        <v>3932688</v>
      </c>
      <c r="I116" s="42">
        <f t="shared" si="15"/>
        <v>75.53485048848016</v>
      </c>
      <c r="J116" s="50">
        <f t="shared" si="16"/>
        <v>75.53485048848016</v>
      </c>
      <c r="L116" s="73">
        <f t="shared" si="14"/>
        <v>-1273767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159000+364000+191373.72+137000</f>
        <v>851373.72</v>
      </c>
      <c r="I128" s="42">
        <f t="shared" si="15"/>
        <v>7.348931549417349</v>
      </c>
      <c r="J128" s="50">
        <f t="shared" si="16"/>
        <v>46.75891613067636</v>
      </c>
      <c r="L128" s="73">
        <f t="shared" si="14"/>
        <v>-969399.28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90" t="s">
        <v>48</v>
      </c>
      <c r="B138" s="90"/>
      <c r="C138" s="90"/>
      <c r="D138" s="90"/>
      <c r="E138" s="90"/>
      <c r="F138" s="90"/>
      <c r="G138" s="90"/>
      <c r="H138" s="90"/>
      <c r="I138" s="90"/>
      <c r="J138" s="90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46821515.45</v>
      </c>
      <c r="I139" s="40">
        <f>H139/D139*100</f>
        <v>33.11234314224693</v>
      </c>
      <c r="J139" s="40">
        <f>H139/(N139+O139+P139+Q139)*100</f>
        <v>94.13120182655167</v>
      </c>
      <c r="K139" s="37"/>
      <c r="L139" s="73">
        <f>H139-(M139+N139+O139+P139+Q139)</f>
        <v>-2919181.089999996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46821515.45</v>
      </c>
      <c r="I140" s="60">
        <f>H140/D140*100</f>
        <v>33.11234314224693</v>
      </c>
      <c r="J140" s="74">
        <f>H140/(N139+O139+P139+Q139)*100</f>
        <v>94.13120182655167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>
        <f t="shared" si="25"/>
        <v>0</v>
      </c>
      <c r="L143" s="73">
        <f t="shared" si="26"/>
        <v>-200000</v>
      </c>
      <c r="M143" s="55"/>
      <c r="N143" s="55"/>
      <c r="O143" s="55"/>
      <c r="P143" s="55"/>
      <c r="Q143" s="62">
        <v>200000</v>
      </c>
      <c r="R143" s="62"/>
      <c r="S143" s="62">
        <f>200000-200000</f>
        <v>0</v>
      </c>
      <c r="T143" s="62"/>
      <c r="U143" s="62">
        <v>5400000</v>
      </c>
      <c r="V143" s="62"/>
      <c r="W143" s="62">
        <v>2700000</v>
      </c>
      <c r="X143" s="62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>
        <f>20944</f>
        <v>20944</v>
      </c>
      <c r="I145" s="50">
        <f>H145/G145*100</f>
        <v>4.1888000000000005</v>
      </c>
      <c r="J145" s="50">
        <f>H145/(N145+O145+P145+Q145)*100</f>
        <v>95.19999999999999</v>
      </c>
      <c r="L145" s="73">
        <f>H145-(M145+N145+O145+P145+Q145)</f>
        <v>-1056</v>
      </c>
      <c r="M145" s="55"/>
      <c r="N145" s="55"/>
      <c r="O145" s="55"/>
      <c r="P145" s="55"/>
      <c r="Q145" s="62">
        <v>22000</v>
      </c>
      <c r="R145" s="62"/>
      <c r="S145" s="62"/>
      <c r="T145" s="62"/>
      <c r="U145" s="62"/>
      <c r="V145" s="62"/>
      <c r="W145" s="62">
        <f>250000-22000</f>
        <v>228000</v>
      </c>
      <c r="X145" s="62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3300000+3111386.39+40091.81-1500000</f>
        <v>4951478.2</v>
      </c>
      <c r="I147" s="50">
        <f>H147/G147*100</f>
        <v>57.575327906976746</v>
      </c>
      <c r="J147" s="63">
        <f t="shared" si="25"/>
        <v>76.7433075015499</v>
      </c>
      <c r="L147" s="73">
        <f t="shared" si="26"/>
        <v>-1500521.7999999998</v>
      </c>
      <c r="M147" s="55"/>
      <c r="N147" s="55"/>
      <c r="O147" s="55">
        <f>4300000-1000000</f>
        <v>3300000</v>
      </c>
      <c r="P147" s="55"/>
      <c r="Q147" s="55">
        <v>3152000</v>
      </c>
      <c r="R147" s="55"/>
      <c r="S147" s="55">
        <v>2000000</v>
      </c>
      <c r="T147" s="55">
        <v>148000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16806225.23+2399840.4+1688728.36+6065043.03</f>
        <v>26959837.02</v>
      </c>
      <c r="I156" s="50">
        <f>H156/G156*100</f>
        <v>72.86442437837837</v>
      </c>
      <c r="J156" s="50">
        <f t="shared" si="25"/>
        <v>99.96417071135912</v>
      </c>
      <c r="L156" s="73">
        <f t="shared" si="26"/>
        <v>-9662.980000000447</v>
      </c>
      <c r="M156" s="62"/>
      <c r="N156" s="62"/>
      <c r="O156" s="62">
        <f>13500000-17000</f>
        <v>13483000</v>
      </c>
      <c r="P156" s="62">
        <f>700000+3000000+2700000+8006500</f>
        <v>14406500</v>
      </c>
      <c r="Q156" s="62">
        <f>-468000-3152000+2700000</f>
        <v>-920000</v>
      </c>
      <c r="R156" s="62"/>
      <c r="S156" s="62">
        <f>6750000-700000-3000000-2700000+205000</f>
        <v>555000</v>
      </c>
      <c r="T156" s="62">
        <f>6750000+17000+3152000-2700000</f>
        <v>7219000</v>
      </c>
      <c r="U156" s="62"/>
      <c r="V156" s="62">
        <f>1833500+100000</f>
        <v>1933500</v>
      </c>
      <c r="W156" s="62">
        <v>163000</v>
      </c>
      <c r="X156" s="62"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93.17147142857144</v>
      </c>
      <c r="L158" s="73">
        <f t="shared" si="26"/>
        <v>-95599.3999999999</v>
      </c>
      <c r="M158" s="55"/>
      <c r="N158" s="55">
        <v>1600000</v>
      </c>
      <c r="O158" s="55">
        <f>1600000-700000</f>
        <v>900000</v>
      </c>
      <c r="P158" s="55"/>
      <c r="Q158" s="55">
        <f>-1100000</f>
        <v>-1100000</v>
      </c>
      <c r="R158" s="55"/>
      <c r="S158" s="55">
        <f>700000</f>
        <v>700000</v>
      </c>
      <c r="T158" s="55">
        <f>1100000</f>
        <v>1100000</v>
      </c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2455.85+748029.6</f>
        <v>750485.45</v>
      </c>
      <c r="I165" s="50">
        <f>H165/G165*100</f>
        <v>22.741983333333334</v>
      </c>
      <c r="J165" s="50">
        <f t="shared" si="25"/>
        <v>93.51843613707165</v>
      </c>
      <c r="L165" s="73">
        <f t="shared" si="26"/>
        <v>-52014.55000000005</v>
      </c>
      <c r="M165" s="55"/>
      <c r="N165" s="55"/>
      <c r="O165" s="55">
        <f>2500</f>
        <v>2500</v>
      </c>
      <c r="P165" s="55"/>
      <c r="Q165" s="55">
        <f>1000000-200000</f>
        <v>800000</v>
      </c>
      <c r="R165" s="55"/>
      <c r="S165" s="55"/>
      <c r="T165" s="55">
        <f>2300000-2500+200000</f>
        <v>2497500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74.87021959459459</v>
      </c>
      <c r="L166" s="73">
        <f t="shared" si="26"/>
        <v>-14876.830000000002</v>
      </c>
      <c r="M166" s="55"/>
      <c r="N166" s="55"/>
      <c r="O166" s="55"/>
      <c r="P166" s="55">
        <f>3300000-1460000-1710000</f>
        <v>130000</v>
      </c>
      <c r="Q166" s="55">
        <f>1329200-1400000</f>
        <v>-70800</v>
      </c>
      <c r="R166" s="55">
        <v>2379528.46</v>
      </c>
      <c r="S166" s="55">
        <f>330800+1460000+1710000</f>
        <v>3500800</v>
      </c>
      <c r="T166" s="55">
        <f>1991271.54+1400000</f>
        <v>3391271.54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99.98719916412952</v>
      </c>
      <c r="L167" s="73">
        <f t="shared" si="26"/>
        <v>-558.0999999996275</v>
      </c>
      <c r="M167" s="62"/>
      <c r="N167" s="62"/>
      <c r="O167" s="62">
        <v>5644871.54</v>
      </c>
      <c r="P167" s="62">
        <f>-3000000+1710000</f>
        <v>-1290000</v>
      </c>
      <c r="Q167" s="62">
        <v>5000</v>
      </c>
      <c r="R167" s="62"/>
      <c r="S167" s="62">
        <f>3355128.46+3000000-1710000-5000</f>
        <v>4640128.46</v>
      </c>
      <c r="T167" s="62"/>
      <c r="U167" s="62"/>
      <c r="V167" s="62">
        <v>3000000</v>
      </c>
      <c r="W167" s="62">
        <v>3000000</v>
      </c>
      <c r="X167" s="62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96.4890438247012</v>
      </c>
      <c r="L168" s="73">
        <f t="shared" si="26"/>
        <v>-141000</v>
      </c>
      <c r="M168" s="62"/>
      <c r="N168" s="62"/>
      <c r="O168" s="62">
        <v>3875000</v>
      </c>
      <c r="P168" s="62"/>
      <c r="Q168" s="62">
        <v>141000</v>
      </c>
      <c r="R168" s="62"/>
      <c r="S168" s="62">
        <f>2091666.54-2091666.54</f>
        <v>0</v>
      </c>
      <c r="T168" s="62">
        <f>1908333.46-1783333.46</f>
        <v>125000</v>
      </c>
      <c r="U168" s="62"/>
      <c r="V168" s="62"/>
      <c r="W168" s="62">
        <f>2000000-141000</f>
        <v>1859000</v>
      </c>
      <c r="X168" s="62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>
        <f t="shared" si="25"/>
        <v>0</v>
      </c>
      <c r="L169" s="73">
        <f t="shared" si="26"/>
        <v>-100000</v>
      </c>
      <c r="M169" s="55"/>
      <c r="N169" s="55"/>
      <c r="O169" s="55"/>
      <c r="P169" s="55"/>
      <c r="Q169" s="55">
        <v>100000</v>
      </c>
      <c r="R169" s="55"/>
      <c r="S169" s="55"/>
      <c r="T169" s="55"/>
      <c r="U169" s="55"/>
      <c r="V169" s="55">
        <v>400000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83469682.06</v>
      </c>
      <c r="I172" s="40">
        <f>H172/D172*100</f>
        <v>28.653203003821424</v>
      </c>
      <c r="J172" s="46">
        <f>H172/(M172+N172+O172+P172+Q172)*100</f>
        <v>82.47484131151175</v>
      </c>
      <c r="L172" s="73">
        <f t="shared" si="26"/>
        <v>-17736553.36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12804613</v>
      </c>
      <c r="R172" s="55">
        <f t="shared" si="31"/>
        <v>14866028.46</v>
      </c>
      <c r="S172" s="55">
        <f t="shared" si="31"/>
        <v>29804807</v>
      </c>
      <c r="T172" s="55">
        <f t="shared" si="31"/>
        <v>38516215.120000005</v>
      </c>
      <c r="U172" s="55">
        <f t="shared" si="31"/>
        <v>21496889</v>
      </c>
      <c r="V172" s="55">
        <f t="shared" si="31"/>
        <v>28415727</v>
      </c>
      <c r="W172" s="55">
        <f t="shared" si="31"/>
        <v>26745896</v>
      </c>
      <c r="X172" s="55">
        <f t="shared" si="31"/>
        <v>30258329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J18:J25"/>
    <mergeCell ref="F5:F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2017-05-25T11:40:13Z</dcterms:modified>
  <cp:category/>
  <cp:version/>
  <cp:contentType/>
  <cp:contentStatus/>
</cp:coreProperties>
</file>